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mc:AlternateContent xmlns:mc="http://schemas.openxmlformats.org/markup-compatibility/2006">
    <mc:Choice Requires="x15">
      <x15ac:absPath xmlns:x15ac="http://schemas.microsoft.com/office/spreadsheetml/2010/11/ac" url="https://oehhacloud-my.sharepoint.com/personal/leona_scanlan_oehha_ca_gov/Documents/Documents/bioSNG/AB1900/CARB 2023 report add to website/"/>
    </mc:Choice>
  </mc:AlternateContent>
  <xr:revisionPtr revIDLastSave="0" documentId="8_{D4170744-3221-4DB9-BE8B-EA5FE9125D84}" xr6:coauthVersionLast="47" xr6:coauthVersionMax="47" xr10:uidLastSave="{00000000-0000-0000-0000-000000000000}"/>
  <bookViews>
    <workbookView xWindow="28680" yWindow="-120" windowWidth="29040" windowHeight="15840" activeTab="1" xr2:uid="{00000000-000D-0000-FFFF-FFFF00000000}"/>
  </bookViews>
  <sheets>
    <sheet name="Please Read" sheetId="2" r:id="rId1"/>
    <sheet name="Calculator" sheetId="3" r:id="rId2"/>
    <sheet name="Risk Management Levels" sheetId="4"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1" i="3" l="1"/>
  <c r="E9" i="3" l="1"/>
  <c r="F9" i="3" s="1"/>
  <c r="G9" i="3" s="1"/>
  <c r="E10" i="3"/>
  <c r="F10" i="3" s="1"/>
  <c r="E11" i="3"/>
  <c r="F11" i="3" s="1"/>
  <c r="E12" i="3"/>
  <c r="F12" i="3" s="1"/>
  <c r="E13" i="3"/>
  <c r="F13" i="3" s="1"/>
  <c r="E14" i="3"/>
  <c r="F14" i="3" s="1"/>
  <c r="E15" i="3"/>
  <c r="F15" i="3" s="1"/>
  <c r="E20" i="3"/>
  <c r="F21" i="3"/>
  <c r="E22" i="3"/>
  <c r="F22" i="3" s="1"/>
  <c r="E23" i="3"/>
  <c r="F23" i="3" s="1"/>
  <c r="E24" i="3"/>
  <c r="F24" i="3" s="1"/>
  <c r="E25" i="3"/>
  <c r="F25" i="3" s="1"/>
  <c r="E26" i="3"/>
  <c r="F26" i="3" s="1"/>
  <c r="E27" i="3"/>
  <c r="F27" i="3" s="1"/>
  <c r="G27" i="3" s="1"/>
  <c r="E16" i="3" l="1"/>
  <c r="F20" i="3"/>
  <c r="G20" i="3" s="1"/>
  <c r="E28" i="3"/>
  <c r="G25" i="3"/>
  <c r="F28" i="3" l="1" a="1"/>
  <c r="F28" i="3" s="1"/>
  <c r="G28" i="3" s="1"/>
  <c r="G22" i="3"/>
  <c r="G23" i="3"/>
  <c r="G24" i="3"/>
  <c r="G26" i="3"/>
  <c r="G21" i="3"/>
  <c r="G11" i="3"/>
  <c r="G12" i="3"/>
  <c r="G13" i="3"/>
  <c r="G14" i="3"/>
  <c r="G15" i="3"/>
  <c r="G10" i="3" l="1"/>
  <c r="F16" i="3" l="1" a="1"/>
  <c r="F16" i="3" s="1"/>
  <c r="G16" i="3" s="1"/>
  <c r="B5" i="3" l="1"/>
  <c r="C5" i="3" s="1"/>
  <c r="B4" i="3"/>
  <c r="C4"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<sst xmlns="http://schemas.openxmlformats.org/spreadsheetml/2006/main" count="97" uniqueCount="68">
  <si>
    <t xml:space="preserve">Biomethane Constituents of Concern Health Risk Calculator </t>
  </si>
  <si>
    <t>Version Date 4/25/2025</t>
  </si>
  <si>
    <t>Failure to accurately utilize this calculator does NOT exempt the facility from properly testing.</t>
  </si>
  <si>
    <t>Instructions</t>
  </si>
  <si>
    <t>1. This tool allows a biomethane producer to input their constituents of concern (COC) concentration data to determine relationship to the trigger, lower and upper action levels outlined in the report entitled “AB 1900 Biogas Recommendations: Biogas Constituents of Concern and Health-Protective Levels for Biomethane, 2020 Update”, released in January 2020 and prepared by the staff of the Office of Environmental Health Hazard Assessment (OEHHA).</t>
  </si>
  <si>
    <t>2. Users can only change cells that are highlighted in yellow or blue. For all COCs except alkyl thiols, concentrations are input in mg/m^3 or ppmv.</t>
  </si>
  <si>
    <t xml:space="preserve">3. The table below presents the CARB and OEHHA recommended testing frequencies for biomethane based on the concentrations of COCs. It is important to note that a utility may have different or additional testing requirements that need to be taken into consideration for a specific biomethane injection project. </t>
  </si>
  <si>
    <t>4. This calculator only applies to COCs that have a known health risk.  For pipeline safety COCs, contact your local utility company.</t>
  </si>
  <si>
    <t>5. If a COC was not detected, please add this as a "U" data flag (case sensitive) in Column D under the Calculator tab.</t>
  </si>
  <si>
    <t>Reference Links:</t>
  </si>
  <si>
    <t>2020 OEHHA Report. AB 1900 Biogas Recommendations: Biogas Constituents of Concern and Health-Protective Levels for Biomethane, 2020 Update.</t>
  </si>
  <si>
    <t xml:space="preserve">https://oehha.ca.gov/media/downloads/air/report-document-background/biomethane010320.pdf </t>
  </si>
  <si>
    <t>https://ww2.arb.ca.gov/resources/documents/biogas-pipeline-constituents-phase-i</t>
  </si>
  <si>
    <t>Monitoring Result</t>
  </si>
  <si>
    <t>Action</t>
  </si>
  <si>
    <t>Result &lt; Trigger Level</t>
  </si>
  <si>
    <t>Annual monitoring</t>
  </si>
  <si>
    <t>Result &lt; Trigger Level for two (2) consecutive years</t>
  </si>
  <si>
    <t>Monitor every two (2) years</t>
  </si>
  <si>
    <t>Trigger Level ≤ Result &lt; Lower Action Level</t>
  </si>
  <si>
    <t>Quarterly monitoring until Result &lt; Trigger Level for four (4) consecutive test results below Trigger, then Annual monitoring</t>
  </si>
  <si>
    <t xml:space="preserve">Lower Action Level ≤ Result &lt; Upper Action Level </t>
  </si>
  <si>
    <t>Quarterly monitoring</t>
  </si>
  <si>
    <t>Lower Action Level ≤ Result &lt; Upper Action Level for three (3) results in 1 year (twelve (12) months)</t>
  </si>
  <si>
    <t>Shut off, resolve issue and retest</t>
  </si>
  <si>
    <t>Upper Action Level ≤ Result</t>
  </si>
  <si>
    <t xml:space="preserve">CARB-OEHHA Recommended Risk Management Levels </t>
  </si>
  <si>
    <t>Can I inject into the pipeline?</t>
  </si>
  <si>
    <t>How frequently does testing need to occur?</t>
  </si>
  <si>
    <t>Constituent of Concern</t>
  </si>
  <si>
    <t>Sample Concentration (mg/m^3)</t>
  </si>
  <si>
    <t>Sample Concentration (ppmv)</t>
  </si>
  <si>
    <t>Data Flag (U if not detected)</t>
  </si>
  <si>
    <t>Cancer Risk (Chances per million)</t>
  </si>
  <si>
    <t>Risk Level</t>
  </si>
  <si>
    <t>Monitoring Requirements***</t>
  </si>
  <si>
    <t xml:space="preserve">1,4-Dichlorobenzene </t>
  </si>
  <si>
    <t xml:space="preserve">Arsenic </t>
  </si>
  <si>
    <t xml:space="preserve">Cadmium </t>
  </si>
  <si>
    <t xml:space="preserve">Chromium (2% Cr VI) </t>
  </si>
  <si>
    <t xml:space="preserve">Ethylbenzene </t>
  </si>
  <si>
    <t xml:space="preserve">N-nitroso-di-n-propylamine </t>
  </si>
  <si>
    <t xml:space="preserve">Vinyl Chloride </t>
  </si>
  <si>
    <t>Total Chances Per Million</t>
  </si>
  <si>
    <t>Hazard Quotient</t>
  </si>
  <si>
    <t xml:space="preserve">Alkyl Thiols </t>
  </si>
  <si>
    <t xml:space="preserve">Antimony </t>
  </si>
  <si>
    <t>Chlorocarbons (as Cl)</t>
  </si>
  <si>
    <t>Fluorocarbons (as F)</t>
  </si>
  <si>
    <t xml:space="preserve">Hydrogen Sulfide </t>
  </si>
  <si>
    <t xml:space="preserve">Lead </t>
  </si>
  <si>
    <t>Silicon compounds (as Si)</t>
  </si>
  <si>
    <t>Sulfur compounds (as S)</t>
  </si>
  <si>
    <t>Total Hazard Index</t>
  </si>
  <si>
    <t>Risk Management Levels (Health Based Standards)</t>
  </si>
  <si>
    <r>
      <t>mg/m</t>
    </r>
    <r>
      <rPr>
        <b/>
        <vertAlign val="superscript"/>
        <sz val="11"/>
        <color theme="1"/>
        <rFont val="Calibri"/>
        <family val="2"/>
        <scheme val="minor"/>
      </rPr>
      <t>3</t>
    </r>
    <r>
      <rPr>
        <b/>
        <sz val="11"/>
        <color theme="1"/>
        <rFont val="Calibri"/>
        <family val="2"/>
        <scheme val="minor"/>
      </rPr>
      <t xml:space="preserve"> (ppmv)</t>
    </r>
  </si>
  <si>
    <t>Trigger Level</t>
  </si>
  <si>
    <t>Lower Action Level</t>
  </si>
  <si>
    <t>Upper Action Level</t>
  </si>
  <si>
    <t>mg/m^3</t>
  </si>
  <si>
    <t>ppmv</t>
  </si>
  <si>
    <t>Carcinogenic Constituents of Concern</t>
  </si>
  <si>
    <t>Cadmium</t>
  </si>
  <si>
    <t>Non-carcinogenic Constituents of Concern</t>
  </si>
  <si>
    <t>Non-carcinogenic Constituent of Concern**</t>
  </si>
  <si>
    <t>Carcinogenic Constituent of Concern*</t>
  </si>
  <si>
    <t>* "Carcinogenic Constituent of Concern" denotes the COCs with health protective levels derived from cancer endpoints.</t>
  </si>
  <si>
    <t>** "Non-carcinogenic Constituent of Concern" denotes the COCs with health protective levels derived from non-cancer endpoints.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</si>
</sst>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E+00"/>
  </numFmts>
  <fonts count="9">
    <font>
      <sz val="11"/>
      <color theme="1"/>
      <name val="Calibri"/>
      <family val="2"/>
      <scheme val="minor"/>
    </font>
    <font>
      <b/>
      <sz val="11"/>
      <color theme="1"/>
      <name val="Calibri"/>
      <family val="2"/>
      <scheme val="minor"/>
    </font>
    <font>
      <b/>
      <sz val="18"/>
      <color theme="1"/>
      <name val="Calibri"/>
      <family val="2"/>
      <scheme val="minor"/>
    </font>
    <font>
      <b/>
      <sz val="12"/>
      <color theme="1"/>
      <name val="Calibri"/>
      <family val="2"/>
      <scheme val="minor"/>
    </font>
    <font>
      <u/>
      <sz val="11"/>
      <color theme="10"/>
      <name val="Calibri"/>
      <family val="2"/>
      <scheme val="minor"/>
    </font>
    <font>
      <b/>
      <vertAlign val="superscript"/>
      <sz val="11"/>
      <color theme="1"/>
      <name val="Calibri"/>
      <family val="2"/>
      <scheme val="minor"/>
    </font>
    <font>
      <sz val="11"/>
      <name val="Calibri"/>
      <family val="2"/>
      <scheme val="minor"/>
    </font>
    <font>
      <b/>
      <sz val="14"/>
      <color theme="1"/>
      <name val="Avenir LT Std 55 Roman"/>
      <family val="2"/>
    </font>
    <font>
      <sz val="12"/>
      <color theme="1"/>
      <name val="Avenir LT Std 55 Roman"/>
      <family val="2"/>
    </font>
  </fonts>
  <fills count="8">
    <fill>
      <patternFill patternType="none"/>
    </fill>
    <fill>
      <patternFill patternType="gray125"/>
    </fill>
    <fill>
      <patternFill patternType="solid">
        <fgColor rgb="FFD9D9D9"/>
        <bgColor indexed="64"/>
      </patternFill>
    </fill>
    <fill>
      <patternFill patternType="solid">
        <fgColor theme="8" tint="0.79998168889431442"/>
        <bgColor indexed="64"/>
      </patternFill>
    </fill>
    <fill>
      <patternFill patternType="solid">
        <fgColor theme="1"/>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4.9989318521683403E-2"/>
        <bgColor indexed="64"/>
      </patternFill>
    </fill>
  </fills>
  <borders count="36">
    <border>
      <left/>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thin">
        <color indexed="64"/>
      </left>
      <right/>
      <top/>
      <bottom/>
      <diagonal/>
    </border>
    <border>
      <left style="thin">
        <color indexed="64"/>
      </left>
      <right style="medium">
        <color indexed="64"/>
      </right>
      <top style="thin">
        <color indexed="64"/>
      </top>
      <bottom/>
      <diagonal/>
    </border>
  </borders>
  <cellStyleXfs count="2">
    <xf numFmtId="0" fontId="0" fillId="0" borderId="0"/>
    <xf numFmtId="0" fontId="4" fillId="0" borderId="0" applyNumberFormat="0" applyFill="0" applyBorder="0" applyAlignment="0" applyProtection="0"/>
  </cellStyleXfs>
  <cellXfs count="130">
    <xf numFmtId="0" fontId="0" fillId="0" borderId="0" xfId="0"/>
    <xf numFmtId="0" fontId="2" fillId="0" borderId="0" xfId="0" applyFont="1"/>
    <xf numFmtId="0" fontId="3" fillId="0" borderId="0" xfId="0" applyFont="1"/>
    <xf numFmtId="0" fontId="1" fillId="0" borderId="0" xfId="0" applyFont="1"/>
    <xf numFmtId="0" fontId="1" fillId="2" borderId="6" xfId="0" applyFont="1" applyFill="1" applyBorder="1" applyAlignment="1">
      <alignment vertical="center" wrapText="1"/>
    </xf>
    <xf numFmtId="0" fontId="1" fillId="2" borderId="1" xfId="0" applyFont="1" applyFill="1" applyBorder="1" applyAlignment="1">
      <alignment vertical="center" wrapText="1"/>
    </xf>
    <xf numFmtId="0" fontId="0" fillId="2" borderId="13" xfId="0" applyFill="1" applyBorder="1" applyAlignment="1">
      <alignment vertical="top" wrapText="1"/>
    </xf>
    <xf numFmtId="0" fontId="0" fillId="2" borderId="10" xfId="0" applyFill="1" applyBorder="1" applyAlignment="1">
      <alignment vertical="top" wrapText="1"/>
    </xf>
    <xf numFmtId="0" fontId="1" fillId="2" borderId="2"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0" fillId="0" borderId="4" xfId="0" applyBorder="1"/>
    <xf numFmtId="0" fontId="0" fillId="0" borderId="7" xfId="0" applyBorder="1"/>
    <xf numFmtId="0" fontId="0" fillId="0" borderId="14" xfId="0" applyBorder="1"/>
    <xf numFmtId="0" fontId="0" fillId="0" borderId="10" xfId="0" applyBorder="1"/>
    <xf numFmtId="0" fontId="0" fillId="3" borderId="16" xfId="0" applyFill="1" applyBorder="1" applyProtection="1">
      <protection locked="0"/>
    </xf>
    <xf numFmtId="0" fontId="0" fillId="3" borderId="22" xfId="0" applyFill="1" applyBorder="1" applyProtection="1">
      <protection locked="0"/>
    </xf>
    <xf numFmtId="0" fontId="0" fillId="4" borderId="8" xfId="0" applyFill="1" applyBorder="1"/>
    <xf numFmtId="164" fontId="0" fillId="5" borderId="0" xfId="0" applyNumberFormat="1" applyFill="1"/>
    <xf numFmtId="1" fontId="0" fillId="5" borderId="0" xfId="0" applyNumberFormat="1" applyFill="1"/>
    <xf numFmtId="2" fontId="0" fillId="5" borderId="0" xfId="0" applyNumberFormat="1" applyFill="1"/>
    <xf numFmtId="2" fontId="0" fillId="5" borderId="11" xfId="0" applyNumberFormat="1" applyFill="1" applyBorder="1"/>
    <xf numFmtId="165" fontId="0" fillId="5" borderId="0" xfId="0" applyNumberFormat="1" applyFill="1"/>
    <xf numFmtId="0" fontId="0" fillId="5" borderId="0" xfId="0" applyFill="1"/>
    <xf numFmtId="164" fontId="0" fillId="5" borderId="11" xfId="0" applyNumberFormat="1" applyFill="1" applyBorder="1"/>
    <xf numFmtId="1" fontId="0" fillId="5" borderId="11" xfId="0" applyNumberFormat="1" applyFill="1" applyBorder="1"/>
    <xf numFmtId="166" fontId="6" fillId="5" borderId="0" xfId="0" applyNumberFormat="1" applyFont="1" applyFill="1"/>
    <xf numFmtId="165" fontId="6" fillId="5" borderId="0" xfId="0" applyNumberFormat="1" applyFont="1" applyFill="1"/>
    <xf numFmtId="164" fontId="6" fillId="5" borderId="0" xfId="0" applyNumberFormat="1" applyFont="1" applyFill="1"/>
    <xf numFmtId="1" fontId="6" fillId="5" borderId="11" xfId="0" applyNumberFormat="1" applyFont="1" applyFill="1" applyBorder="1"/>
    <xf numFmtId="1" fontId="6" fillId="5" borderId="0" xfId="0" applyNumberFormat="1" applyFont="1" applyFill="1"/>
    <xf numFmtId="0" fontId="0" fillId="3" borderId="20" xfId="0" applyFill="1" applyBorder="1" applyProtection="1">
      <protection locked="0"/>
    </xf>
    <xf numFmtId="2" fontId="6" fillId="5" borderId="0" xfId="0" applyNumberFormat="1" applyFont="1" applyFill="1"/>
    <xf numFmtId="0" fontId="6" fillId="5" borderId="0" xfId="0" applyFont="1" applyFill="1"/>
    <xf numFmtId="0" fontId="0" fillId="5" borderId="15" xfId="0" applyFill="1" applyBorder="1" applyProtection="1">
      <protection locked="0"/>
    </xf>
    <xf numFmtId="0" fontId="0" fillId="5" borderId="19" xfId="0" applyFill="1" applyBorder="1" applyProtection="1">
      <protection locked="0"/>
    </xf>
    <xf numFmtId="2" fontId="0" fillId="6" borderId="0" xfId="0" applyNumberFormat="1" applyFill="1"/>
    <xf numFmtId="166" fontId="6" fillId="6" borderId="0" xfId="0" applyNumberFormat="1" applyFont="1" applyFill="1"/>
    <xf numFmtId="164" fontId="0" fillId="6" borderId="0" xfId="0" applyNumberFormat="1" applyFill="1"/>
    <xf numFmtId="166" fontId="0" fillId="6" borderId="0" xfId="0" applyNumberFormat="1" applyFill="1"/>
    <xf numFmtId="2" fontId="0" fillId="6" borderId="11" xfId="0" applyNumberFormat="1" applyFill="1" applyBorder="1"/>
    <xf numFmtId="0" fontId="0" fillId="6" borderId="8" xfId="0" applyFill="1" applyBorder="1"/>
    <xf numFmtId="165" fontId="0" fillId="6" borderId="0" xfId="0" applyNumberFormat="1" applyFill="1"/>
    <xf numFmtId="164" fontId="6" fillId="6" borderId="0" xfId="0" applyNumberFormat="1" applyFont="1" applyFill="1"/>
    <xf numFmtId="0" fontId="6" fillId="6" borderId="0" xfId="0" applyFont="1" applyFill="1"/>
    <xf numFmtId="2" fontId="6" fillId="6" borderId="0" xfId="0" applyNumberFormat="1" applyFont="1" applyFill="1"/>
    <xf numFmtId="0" fontId="6" fillId="6" borderId="11" xfId="0" applyFont="1" applyFill="1" applyBorder="1"/>
    <xf numFmtId="1" fontId="0" fillId="6" borderId="0" xfId="0" applyNumberFormat="1" applyFill="1"/>
    <xf numFmtId="165" fontId="6" fillId="6" borderId="0" xfId="0" applyNumberFormat="1" applyFont="1" applyFill="1"/>
    <xf numFmtId="0" fontId="0" fillId="6" borderId="0" xfId="0" applyFill="1"/>
    <xf numFmtId="164" fontId="0" fillId="6" borderId="11" xfId="0" applyNumberFormat="1" applyFill="1" applyBorder="1"/>
    <xf numFmtId="1" fontId="6" fillId="6" borderId="0" xfId="0" applyNumberFormat="1" applyFont="1" applyFill="1"/>
    <xf numFmtId="1" fontId="0" fillId="6" borderId="27" xfId="0" applyNumberFormat="1" applyFill="1" applyBorder="1"/>
    <xf numFmtId="166" fontId="6" fillId="6" borderId="27" xfId="0" applyNumberFormat="1" applyFont="1" applyFill="1" applyBorder="1"/>
    <xf numFmtId="2" fontId="6" fillId="6" borderId="27" xfId="0" applyNumberFormat="1" applyFont="1" applyFill="1" applyBorder="1"/>
    <xf numFmtId="2" fontId="0" fillId="6" borderId="27" xfId="0" applyNumberFormat="1" applyFill="1" applyBorder="1"/>
    <xf numFmtId="164" fontId="0" fillId="6" borderId="12" xfId="0" applyNumberFormat="1" applyFill="1" applyBorder="1"/>
    <xf numFmtId="0" fontId="0" fillId="6" borderId="9" xfId="0" applyFill="1" applyBorder="1"/>
    <xf numFmtId="0" fontId="6" fillId="6" borderId="27" xfId="0" applyFont="1" applyFill="1" applyBorder="1"/>
    <xf numFmtId="0" fontId="0" fillId="6" borderId="27" xfId="0" applyFill="1" applyBorder="1"/>
    <xf numFmtId="0" fontId="6" fillId="6" borderId="12" xfId="0" applyFont="1" applyFill="1" applyBorder="1"/>
    <xf numFmtId="0" fontId="1" fillId="0" borderId="3" xfId="0" applyFont="1" applyBorder="1" applyAlignment="1">
      <alignment horizontal="center"/>
    </xf>
    <xf numFmtId="0" fontId="1" fillId="0" borderId="4" xfId="0" applyFont="1" applyBorder="1" applyAlignment="1">
      <alignment horizontal="center"/>
    </xf>
    <xf numFmtId="0" fontId="1" fillId="0" borderId="5" xfId="0" applyFont="1" applyBorder="1" applyAlignment="1">
      <alignment horizontal="center"/>
    </xf>
    <xf numFmtId="0" fontId="0" fillId="5" borderId="21" xfId="0" applyFill="1" applyBorder="1" applyProtection="1">
      <protection locked="0"/>
    </xf>
    <xf numFmtId="0" fontId="0" fillId="0" borderId="22"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20" xfId="0" applyBorder="1" applyAlignment="1" applyProtection="1">
      <alignment horizontal="center"/>
      <protection locked="0"/>
    </xf>
    <xf numFmtId="0" fontId="0" fillId="0" borderId="25" xfId="0" applyBorder="1" applyAlignment="1" applyProtection="1">
      <alignment horizontal="center"/>
      <protection locked="0"/>
    </xf>
    <xf numFmtId="0" fontId="0" fillId="0" borderId="0" xfId="0" applyProtection="1">
      <protection locked="0"/>
    </xf>
    <xf numFmtId="0" fontId="1" fillId="0" borderId="0" xfId="0" applyFont="1" applyProtection="1">
      <protection locked="0"/>
    </xf>
    <xf numFmtId="0" fontId="1" fillId="0" borderId="0" xfId="0" applyFont="1" applyAlignment="1" applyProtection="1">
      <alignment vertical="center"/>
      <protection locked="0"/>
    </xf>
    <xf numFmtId="0" fontId="6" fillId="5" borderId="15" xfId="0" applyFont="1" applyFill="1" applyBorder="1" applyProtection="1">
      <protection locked="0"/>
    </xf>
    <xf numFmtId="0" fontId="0" fillId="0" borderId="4" xfId="0" applyBorder="1" applyProtection="1">
      <protection locked="0"/>
    </xf>
    <xf numFmtId="0" fontId="0" fillId="4" borderId="21" xfId="0" applyFill="1" applyBorder="1" applyProtection="1">
      <protection locked="0"/>
    </xf>
    <xf numFmtId="0" fontId="1" fillId="0" borderId="2" xfId="0" applyFont="1" applyBorder="1" applyAlignment="1">
      <alignment horizontal="center"/>
    </xf>
    <xf numFmtId="0" fontId="1" fillId="7" borderId="18" xfId="0" applyFont="1" applyFill="1" applyBorder="1" applyAlignment="1">
      <alignment horizontal="center" vertical="center" wrapText="1"/>
    </xf>
    <xf numFmtId="0" fontId="1" fillId="0" borderId="0" xfId="0" applyFont="1" applyAlignment="1">
      <alignment vertical="center"/>
    </xf>
    <xf numFmtId="2" fontId="0" fillId="0" borderId="25" xfId="0" applyNumberFormat="1" applyBorder="1" applyAlignment="1">
      <alignment horizontal="center"/>
    </xf>
    <xf numFmtId="0" fontId="0" fillId="0" borderId="34" xfId="0" applyBorder="1"/>
    <xf numFmtId="0" fontId="0" fillId="0" borderId="33" xfId="0" applyBorder="1"/>
    <xf numFmtId="2" fontId="0" fillId="0" borderId="22" xfId="0" applyNumberFormat="1" applyBorder="1" applyAlignment="1">
      <alignment horizontal="center"/>
    </xf>
    <xf numFmtId="0" fontId="0" fillId="0" borderId="15" xfId="0" applyBorder="1"/>
    <xf numFmtId="0" fontId="0" fillId="0" borderId="24" xfId="0" applyBorder="1"/>
    <xf numFmtId="0" fontId="0" fillId="0" borderId="35" xfId="0" applyBorder="1"/>
    <xf numFmtId="2" fontId="0" fillId="0" borderId="3" xfId="0" applyNumberFormat="1" applyBorder="1" applyAlignment="1">
      <alignment horizontal="center"/>
    </xf>
    <xf numFmtId="0" fontId="0" fillId="0" borderId="2" xfId="0" applyBorder="1"/>
    <xf numFmtId="0" fontId="0" fillId="0" borderId="5" xfId="0" applyBorder="1"/>
    <xf numFmtId="165" fontId="0" fillId="0" borderId="25" xfId="0" applyNumberFormat="1" applyBorder="1" applyAlignment="1">
      <alignment horizontal="center"/>
    </xf>
    <xf numFmtId="0" fontId="0" fillId="0" borderId="22" xfId="0" applyBorder="1"/>
    <xf numFmtId="0" fontId="0" fillId="0" borderId="23" xfId="0" applyBorder="1"/>
    <xf numFmtId="165" fontId="0" fillId="0" borderId="21" xfId="0" applyNumberFormat="1" applyBorder="1" applyAlignment="1">
      <alignment horizontal="center"/>
    </xf>
    <xf numFmtId="2" fontId="0" fillId="0" borderId="2" xfId="0" applyNumberFormat="1" applyBorder="1" applyAlignment="1">
      <alignment horizontal="center"/>
    </xf>
    <xf numFmtId="0" fontId="0" fillId="0" borderId="0" xfId="0" applyAlignment="1">
      <alignment horizontal="left" vertical="center" wrapText="1"/>
    </xf>
    <xf numFmtId="0" fontId="0" fillId="0" borderId="3" xfId="0" applyBorder="1" applyAlignment="1">
      <alignment horizontal="left" vertical="center"/>
    </xf>
    <xf numFmtId="0" fontId="0" fillId="0" borderId="4" xfId="0" applyBorder="1" applyAlignment="1">
      <alignment horizontal="center" vertical="center" wrapText="1"/>
    </xf>
    <xf numFmtId="0" fontId="0" fillId="0" borderId="4" xfId="0" applyBorder="1" applyAlignment="1">
      <alignment horizontal="center" vertical="center"/>
    </xf>
    <xf numFmtId="0" fontId="0" fillId="0" borderId="5" xfId="0" applyBorder="1" applyAlignment="1">
      <alignment horizontal="center" vertical="center" wrapText="1"/>
    </xf>
    <xf numFmtId="0" fontId="0" fillId="0" borderId="3" xfId="0" applyBorder="1"/>
    <xf numFmtId="0" fontId="0" fillId="0" borderId="3" xfId="0" applyBorder="1" applyAlignment="1">
      <alignment vertical="center"/>
    </xf>
    <xf numFmtId="0" fontId="1" fillId="0" borderId="3" xfId="0" applyFont="1" applyBorder="1"/>
    <xf numFmtId="0" fontId="1" fillId="0" borderId="17" xfId="0" applyFont="1" applyBorder="1" applyAlignment="1">
      <alignment vertical="center" wrapText="1"/>
    </xf>
    <xf numFmtId="0" fontId="2" fillId="0" borderId="0" xfId="0" applyFont="1" applyAlignment="1">
      <alignment horizontal="left"/>
    </xf>
    <xf numFmtId="0" fontId="7" fillId="0" borderId="28" xfId="0" applyFont="1" applyBorder="1" applyAlignment="1">
      <alignment horizontal="center"/>
    </xf>
    <xf numFmtId="0" fontId="7" fillId="0" borderId="25" xfId="0" applyFont="1" applyBorder="1" applyAlignment="1">
      <alignment horizontal="center"/>
    </xf>
    <xf numFmtId="0" fontId="7" fillId="0" borderId="29" xfId="0" applyFont="1" applyBorder="1" applyAlignment="1">
      <alignment horizontal="center"/>
    </xf>
    <xf numFmtId="0" fontId="8" fillId="0" borderId="30" xfId="0" applyFont="1" applyBorder="1" applyAlignment="1">
      <alignment horizontal="left" vertical="center"/>
    </xf>
    <xf numFmtId="0" fontId="8" fillId="0" borderId="15" xfId="0" applyFont="1" applyBorder="1" applyAlignment="1">
      <alignment horizontal="left" vertical="center"/>
    </xf>
    <xf numFmtId="0" fontId="8" fillId="0" borderId="24" xfId="0" applyFont="1" applyBorder="1" applyAlignment="1">
      <alignment horizontal="left" vertical="center"/>
    </xf>
    <xf numFmtId="0" fontId="0" fillId="0" borderId="0" xfId="0" applyAlignment="1">
      <alignment horizontal="left" vertical="center" wrapText="1"/>
    </xf>
    <xf numFmtId="0" fontId="4" fillId="0" borderId="0" xfId="1" applyAlignment="1">
      <alignment horizontal="left" vertical="center"/>
    </xf>
    <xf numFmtId="0" fontId="4" fillId="0" borderId="0" xfId="1" applyAlignment="1">
      <alignment horizontal="left"/>
    </xf>
    <xf numFmtId="0" fontId="0" fillId="0" borderId="0" xfId="0" applyAlignment="1">
      <alignment horizontal="left"/>
    </xf>
    <xf numFmtId="0" fontId="0" fillId="0" borderId="0" xfId="0" applyAlignment="1">
      <alignment horizontal="left" vertical="top" wrapText="1"/>
    </xf>
    <xf numFmtId="0" fontId="0" fillId="0" borderId="0" xfId="0" applyAlignment="1">
      <alignment horizontal="left" wrapText="1"/>
    </xf>
    <xf numFmtId="0" fontId="8" fillId="0" borderId="30" xfId="0" applyFont="1" applyBorder="1" applyAlignment="1">
      <alignment horizontal="left" vertical="center" wrapText="1"/>
    </xf>
    <xf numFmtId="0" fontId="8" fillId="0" borderId="15" xfId="0" applyFont="1" applyBorder="1" applyAlignment="1">
      <alignment horizontal="left" vertical="center" wrapText="1"/>
    </xf>
    <xf numFmtId="0" fontId="8" fillId="0" borderId="31" xfId="0" applyFont="1" applyBorder="1" applyAlignment="1">
      <alignment horizontal="left" vertical="center"/>
    </xf>
    <xf numFmtId="0" fontId="8" fillId="0" borderId="26" xfId="0" applyFont="1" applyBorder="1" applyAlignment="1">
      <alignment horizontal="left" vertical="center"/>
    </xf>
    <xf numFmtId="0" fontId="8" fillId="0" borderId="32" xfId="0" applyFont="1" applyBorder="1" applyAlignment="1">
      <alignment horizontal="left" vertical="center"/>
    </xf>
    <xf numFmtId="0" fontId="8" fillId="0" borderId="24" xfId="0" applyFont="1" applyBorder="1" applyAlignment="1">
      <alignment horizontal="left" vertical="center" wrapText="1"/>
    </xf>
    <xf numFmtId="0" fontId="0" fillId="0" borderId="3"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2" fillId="0" borderId="0" xfId="0" applyFont="1" applyAlignment="1" applyProtection="1">
      <alignment horizontal="left"/>
      <protection locked="0"/>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wrapText="1"/>
    </xf>
    <xf numFmtId="0" fontId="1" fillId="2" borderId="9"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cellXfs>
  <cellStyles count="2">
    <cellStyle name="Hyperlink" xfId="1" builtinId="8"/>
    <cellStyle name="Normal" xfId="0" builtinId="0"/>
  </cellStyles>
  <dxfs count="17">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theme="5" tint="0.59996337778862885"/>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oehha.ca.gov/media/downloads/air/report-document-background/biomethane010320.pdf" TargetMode="External"/><Relationship Id="rId1" Type="http://schemas.openxmlformats.org/officeDocument/2006/relationships/hyperlink" Target="https://ww2.arb.ca.gov/resources/documents/biogas-pipeline-constituents-phase-i"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23"/>
  <sheetViews>
    <sheetView zoomScaleNormal="100" workbookViewId="0">
      <selection sqref="A1:N1"/>
    </sheetView>
  </sheetViews>
  <sheetFormatPr defaultRowHeight="14.5"/>
  <sheetData>
    <row r="1" spans="1:18" ht="23.5">
      <c r="A1" s="101" t="s">
        <v>0</v>
      </c>
      <c r="B1" s="101"/>
      <c r="C1" s="101"/>
      <c r="D1" s="101"/>
      <c r="E1" s="101"/>
      <c r="F1" s="101"/>
      <c r="G1" s="101"/>
      <c r="H1" s="101"/>
      <c r="I1" s="101"/>
      <c r="J1" s="101"/>
      <c r="K1" s="101"/>
      <c r="L1" s="101"/>
      <c r="M1" s="101"/>
      <c r="N1" s="101"/>
    </row>
    <row r="2" spans="1:18" ht="15.5">
      <c r="A2" s="2" t="s">
        <v>1</v>
      </c>
    </row>
    <row r="3" spans="1:18" ht="15.5">
      <c r="A3" s="2" t="s">
        <v>2</v>
      </c>
    </row>
    <row r="5" spans="1:18">
      <c r="A5" s="3" t="s">
        <v>3</v>
      </c>
    </row>
    <row r="6" spans="1:18" ht="57" customHeight="1">
      <c r="A6" s="113" t="s">
        <v>4</v>
      </c>
      <c r="B6" s="113"/>
      <c r="C6" s="113"/>
      <c r="D6" s="113"/>
      <c r="E6" s="113"/>
      <c r="F6" s="113"/>
      <c r="G6" s="113"/>
      <c r="H6" s="113"/>
      <c r="I6" s="113"/>
      <c r="J6" s="113"/>
      <c r="K6" s="113"/>
      <c r="L6" s="113"/>
      <c r="M6" s="113"/>
      <c r="N6" s="113"/>
    </row>
    <row r="7" spans="1:18">
      <c r="A7" s="111" t="s">
        <v>5</v>
      </c>
      <c r="B7" s="111"/>
      <c r="C7" s="111"/>
      <c r="D7" s="111"/>
      <c r="E7" s="111"/>
      <c r="F7" s="111"/>
      <c r="G7" s="111"/>
      <c r="H7" s="111"/>
      <c r="I7" s="111"/>
      <c r="J7" s="111"/>
      <c r="K7" s="111"/>
      <c r="L7" s="111"/>
      <c r="M7" s="111"/>
      <c r="N7" s="111"/>
    </row>
    <row r="8" spans="1:18" ht="43.5" customHeight="1">
      <c r="A8" s="112" t="s">
        <v>6</v>
      </c>
      <c r="B8" s="112"/>
      <c r="C8" s="112"/>
      <c r="D8" s="112"/>
      <c r="E8" s="112"/>
      <c r="F8" s="112"/>
      <c r="G8" s="112"/>
      <c r="H8" s="112"/>
      <c r="I8" s="112"/>
      <c r="J8" s="112"/>
      <c r="K8" s="112"/>
      <c r="L8" s="112"/>
      <c r="M8" s="112"/>
      <c r="N8" s="112"/>
    </row>
    <row r="9" spans="1:18">
      <c r="A9" s="111" t="s">
        <v>7</v>
      </c>
      <c r="B9" s="111"/>
      <c r="C9" s="111"/>
      <c r="D9" s="111"/>
      <c r="E9" s="111"/>
      <c r="F9" s="111"/>
      <c r="G9" s="111"/>
      <c r="H9" s="111"/>
      <c r="I9" s="111"/>
      <c r="J9" s="111"/>
      <c r="K9" s="111"/>
      <c r="L9" s="111"/>
      <c r="M9" s="111"/>
      <c r="N9" s="111"/>
    </row>
    <row r="10" spans="1:18">
      <c r="A10" s="111" t="s">
        <v>8</v>
      </c>
      <c r="B10" s="111"/>
      <c r="C10" s="111"/>
      <c r="D10" s="111"/>
      <c r="E10" s="111"/>
      <c r="F10" s="111"/>
      <c r="G10" s="111"/>
      <c r="H10" s="111"/>
      <c r="I10" s="111"/>
      <c r="J10" s="111"/>
      <c r="K10" s="111"/>
      <c r="L10" s="111"/>
      <c r="M10" s="111"/>
      <c r="N10" s="111"/>
    </row>
    <row r="12" spans="1:18">
      <c r="A12" s="3" t="s">
        <v>9</v>
      </c>
    </row>
    <row r="13" spans="1:18" ht="33.75" customHeight="1">
      <c r="A13" s="108" t="s">
        <v>10</v>
      </c>
      <c r="B13" s="108"/>
      <c r="C13" s="108"/>
      <c r="D13" s="108"/>
      <c r="E13" s="108"/>
      <c r="F13" s="108"/>
      <c r="G13" s="108"/>
      <c r="H13" s="108"/>
      <c r="I13" s="108"/>
      <c r="J13" s="108"/>
      <c r="K13" s="108"/>
      <c r="L13" s="108"/>
      <c r="M13" s="108"/>
      <c r="N13" s="108"/>
      <c r="O13" s="92"/>
      <c r="P13" s="92"/>
      <c r="Q13" s="92"/>
      <c r="R13" s="92"/>
    </row>
    <row r="14" spans="1:18">
      <c r="A14" s="109" t="s">
        <v>11</v>
      </c>
      <c r="B14" s="109"/>
      <c r="C14" s="109"/>
      <c r="D14" s="109"/>
      <c r="E14" s="109"/>
      <c r="F14" s="109"/>
      <c r="G14" s="109"/>
      <c r="H14" s="109"/>
      <c r="I14" s="109"/>
      <c r="J14" s="109"/>
      <c r="K14" s="109"/>
      <c r="L14" s="109"/>
      <c r="M14" s="109"/>
      <c r="N14" s="109"/>
      <c r="O14" s="92"/>
      <c r="P14" s="92"/>
      <c r="Q14" s="92"/>
      <c r="R14" s="92"/>
    </row>
    <row r="15" spans="1:18">
      <c r="A15" s="110" t="s">
        <v>12</v>
      </c>
      <c r="B15" s="110"/>
      <c r="C15" s="110"/>
      <c r="D15" s="110"/>
      <c r="E15" s="110"/>
      <c r="F15" s="110"/>
      <c r="G15" s="110"/>
      <c r="H15" s="110"/>
      <c r="I15" s="110"/>
      <c r="J15" s="110"/>
      <c r="K15" s="110"/>
      <c r="L15" s="110"/>
      <c r="M15" s="110"/>
      <c r="N15" s="110"/>
    </row>
    <row r="16" spans="1:18" ht="15" thickBot="1"/>
    <row r="17" spans="2:13" ht="20.149999999999999" customHeight="1">
      <c r="B17" s="102" t="s">
        <v>13</v>
      </c>
      <c r="C17" s="103"/>
      <c r="D17" s="103"/>
      <c r="E17" s="103"/>
      <c r="F17" s="103"/>
      <c r="G17" s="103"/>
      <c r="H17" s="103" t="s">
        <v>14</v>
      </c>
      <c r="I17" s="103"/>
      <c r="J17" s="103"/>
      <c r="K17" s="103"/>
      <c r="L17" s="103"/>
      <c r="M17" s="104"/>
    </row>
    <row r="18" spans="2:13" ht="20.149999999999999" customHeight="1">
      <c r="B18" s="105" t="s">
        <v>15</v>
      </c>
      <c r="C18" s="106"/>
      <c r="D18" s="106"/>
      <c r="E18" s="106"/>
      <c r="F18" s="106"/>
      <c r="G18" s="106"/>
      <c r="H18" s="106" t="s">
        <v>16</v>
      </c>
      <c r="I18" s="106"/>
      <c r="J18" s="106"/>
      <c r="K18" s="106"/>
      <c r="L18" s="106"/>
      <c r="M18" s="107"/>
    </row>
    <row r="19" spans="2:13" ht="20.149999999999999" customHeight="1">
      <c r="B19" s="105" t="s">
        <v>17</v>
      </c>
      <c r="C19" s="106"/>
      <c r="D19" s="106"/>
      <c r="E19" s="106"/>
      <c r="F19" s="106"/>
      <c r="G19" s="106"/>
      <c r="H19" s="106" t="s">
        <v>18</v>
      </c>
      <c r="I19" s="106"/>
      <c r="J19" s="106"/>
      <c r="K19" s="106"/>
      <c r="L19" s="106"/>
      <c r="M19" s="107"/>
    </row>
    <row r="20" spans="2:13" ht="57.75" customHeight="1">
      <c r="B20" s="105" t="s">
        <v>19</v>
      </c>
      <c r="C20" s="106"/>
      <c r="D20" s="106"/>
      <c r="E20" s="106"/>
      <c r="F20" s="106"/>
      <c r="G20" s="106"/>
      <c r="H20" s="115" t="s">
        <v>20</v>
      </c>
      <c r="I20" s="115"/>
      <c r="J20" s="115"/>
      <c r="K20" s="115"/>
      <c r="L20" s="115"/>
      <c r="M20" s="119"/>
    </row>
    <row r="21" spans="2:13" ht="20.149999999999999" customHeight="1">
      <c r="B21" s="105" t="s">
        <v>21</v>
      </c>
      <c r="C21" s="106"/>
      <c r="D21" s="106"/>
      <c r="E21" s="106"/>
      <c r="F21" s="106"/>
      <c r="G21" s="106"/>
      <c r="H21" s="106" t="s">
        <v>22</v>
      </c>
      <c r="I21" s="106"/>
      <c r="J21" s="106"/>
      <c r="K21" s="106"/>
      <c r="L21" s="106"/>
      <c r="M21" s="107"/>
    </row>
    <row r="22" spans="2:13" ht="38.25" customHeight="1">
      <c r="B22" s="114" t="s">
        <v>23</v>
      </c>
      <c r="C22" s="115"/>
      <c r="D22" s="115"/>
      <c r="E22" s="115"/>
      <c r="F22" s="115"/>
      <c r="G22" s="115"/>
      <c r="H22" s="106" t="s">
        <v>24</v>
      </c>
      <c r="I22" s="106"/>
      <c r="J22" s="106"/>
      <c r="K22" s="106"/>
      <c r="L22" s="106"/>
      <c r="M22" s="107"/>
    </row>
    <row r="23" spans="2:13" ht="20.149999999999999" customHeight="1" thickBot="1">
      <c r="B23" s="116" t="s">
        <v>25</v>
      </c>
      <c r="C23" s="117"/>
      <c r="D23" s="117"/>
      <c r="E23" s="117"/>
      <c r="F23" s="117"/>
      <c r="G23" s="117"/>
      <c r="H23" s="117" t="s">
        <v>24</v>
      </c>
      <c r="I23" s="117"/>
      <c r="J23" s="117"/>
      <c r="K23" s="117"/>
      <c r="L23" s="117"/>
      <c r="M23" s="118"/>
    </row>
  </sheetData>
  <sheetProtection algorithmName="SHA-512" hashValue="pHGhNhAeDyujp+ybIj3WhcgHDZg8j6vKC+l/06Ylpq+eciLdq0KfBNB3stiecAS0e7uEArSt5bYpElowspwHNg==" saltValue="DI++ydTVy55KYI+3cIKYXg==" spinCount="100000" sheet="1" objects="1" scenarios="1"/>
  <mergeCells count="23">
    <mergeCell ref="B22:G22"/>
    <mergeCell ref="H22:M22"/>
    <mergeCell ref="B23:G23"/>
    <mergeCell ref="H23:M23"/>
    <mergeCell ref="B19:G19"/>
    <mergeCell ref="H19:M19"/>
    <mergeCell ref="B20:G20"/>
    <mergeCell ref="H20:M20"/>
    <mergeCell ref="B21:G21"/>
    <mergeCell ref="H21:M21"/>
    <mergeCell ref="A1:N1"/>
    <mergeCell ref="B17:G17"/>
    <mergeCell ref="H17:M17"/>
    <mergeCell ref="B18:G18"/>
    <mergeCell ref="H18:M18"/>
    <mergeCell ref="A13:N13"/>
    <mergeCell ref="A14:N14"/>
    <mergeCell ref="A15:N15"/>
    <mergeCell ref="A10:N10"/>
    <mergeCell ref="A9:N9"/>
    <mergeCell ref="A8:N8"/>
    <mergeCell ref="A7:N7"/>
    <mergeCell ref="A6:N6"/>
  </mergeCells>
  <hyperlinks>
    <hyperlink ref="A15" r:id="rId1" xr:uid="{00000000-0004-0000-0000-000000000000}"/>
    <hyperlink ref="A14" r:id="rId2" xr:uid="{C8159C76-121C-4B4D-ACF1-54B15E07BE50}"/>
  </hyperlinks>
  <pageMargins left="0.7" right="0.7" top="0.75" bottom="0.75" header="0.3" footer="0.3"/>
  <pageSetup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32"/>
  <sheetViews>
    <sheetView tabSelected="1" zoomScaleNormal="100" workbookViewId="0">
      <selection activeCell="A30" sqref="A30"/>
    </sheetView>
  </sheetViews>
  <sheetFormatPr defaultColWidth="9.26953125" defaultRowHeight="14.5"/>
  <cols>
    <col min="1" max="1" width="34.7265625" style="68" bestFit="1" customWidth="1"/>
    <col min="2" max="2" width="14.7265625" style="68" customWidth="1"/>
    <col min="3" max="3" width="15.26953125" style="68" customWidth="1"/>
    <col min="4" max="4" width="10.54296875" style="68" bestFit="1" customWidth="1"/>
    <col min="5" max="5" width="18.26953125" style="68" customWidth="1"/>
    <col min="6" max="6" width="24.1796875" style="68" bestFit="1" customWidth="1"/>
    <col min="7" max="7" width="25.36328125" style="68" bestFit="1" customWidth="1"/>
    <col min="8" max="16384" width="9.26953125" style="68"/>
  </cols>
  <sheetData>
    <row r="1" spans="1:7" ht="23.5">
      <c r="A1" s="123" t="s">
        <v>26</v>
      </c>
      <c r="B1" s="123"/>
      <c r="C1" s="123"/>
      <c r="D1" s="123"/>
      <c r="E1" s="123"/>
      <c r="F1" s="123"/>
      <c r="G1" s="123"/>
    </row>
    <row r="2" spans="1:7">
      <c r="A2" t="s">
        <v>1</v>
      </c>
    </row>
    <row r="3" spans="1:7" ht="15" thickBot="1">
      <c r="A3"/>
    </row>
    <row r="4" spans="1:7" ht="15" thickBot="1">
      <c r="A4" s="99" t="s">
        <v>27</v>
      </c>
      <c r="B4" s="74" t="str">
        <f>IF(OR(F16="Above Upper Action Level",F28="Above Upper Action Level"),"No","Yes")</f>
        <v>Yes</v>
      </c>
      <c r="C4" s="3" t="str">
        <f>IF(B4="No","All issues must be resolved prior to injection","")</f>
        <v/>
      </c>
      <c r="D4" s="69"/>
    </row>
    <row r="5" spans="1:7" ht="44.15" customHeight="1" thickBot="1">
      <c r="A5" s="100" t="s">
        <v>28</v>
      </c>
      <c r="B5" s="75" t="str">
        <f>IF(OR(G16="Shut Off and Resolve Issue",G28="Shut Off and Resolve Issue"),"Shut Off and Resolve Issue",IF(OR(G16="Quarterly Monitoring",G28="Quarterly Monitoring"),"At Least Quarterly Monitoring",IF(OR(G16="Quarterly Monitoring*",G28="Quarterly Monitoring*"),"At Least Quarterly Monitoring*","At Least Annual Monitoring")))</f>
        <v>At Least Annual Monitoring</v>
      </c>
      <c r="C5" s="76" t="str">
        <f>IF(B5="At Least Quarterly Monitoring*","Subsequently, if four (4) consecutive quarterly test results are below the trigger level, then Annual Monitoring","")</f>
        <v/>
      </c>
      <c r="D5" s="70"/>
    </row>
    <row r="6" spans="1:7" ht="15" thickBot="1"/>
    <row r="7" spans="1:7" ht="15" thickBot="1">
      <c r="A7" s="120" t="s">
        <v>65</v>
      </c>
      <c r="B7" s="121"/>
      <c r="C7" s="121"/>
      <c r="D7" s="121"/>
      <c r="E7" s="121"/>
      <c r="F7" s="121"/>
      <c r="G7" s="122"/>
    </row>
    <row r="8" spans="1:7" ht="44" thickBot="1">
      <c r="A8" s="98" t="s">
        <v>29</v>
      </c>
      <c r="B8" s="94" t="s">
        <v>30</v>
      </c>
      <c r="C8" s="94" t="s">
        <v>31</v>
      </c>
      <c r="D8" s="94" t="s">
        <v>32</v>
      </c>
      <c r="E8" s="94" t="s">
        <v>33</v>
      </c>
      <c r="F8" s="95" t="s">
        <v>34</v>
      </c>
      <c r="G8" s="96" t="s">
        <v>35</v>
      </c>
    </row>
    <row r="9" spans="1:7">
      <c r="A9" s="12" t="s">
        <v>36</v>
      </c>
      <c r="B9" s="63"/>
      <c r="C9" s="15"/>
      <c r="D9" s="67"/>
      <c r="E9" s="77" t="str">
        <f>IF(AND(B9="",C9=""),"",IF(D9="U","",IF(B9&gt;0,(B9/'Risk Management Levels'!B10),(C9/'Risk Management Levels'!C10))))</f>
        <v/>
      </c>
      <c r="F9" s="78" t="str">
        <f>IF(E9="","",IF(OR('Risk Management Levels'!F10&lt;=B9,'Risk Management Levels'!G10&lt;=C9),"Above Upper Action Level",IF(OR('Risk Management Levels'!D10&lt;=B9,'Risk Management Levels'!E10&lt;=C9),"Above Lower Action Level",IF(OR('Risk Management Levels'!B10&lt;=B9,'Risk Management Levels'!C10&lt;=C9),"Above Trigger Level","Below Trigger Level"))))</f>
        <v/>
      </c>
      <c r="G9" s="79" t="str">
        <f>IF(F9="","",IF(F9="Above Upper Action Level","Shut Off and Resolve Issue",IF(F9="Above Lower Action Level","Quarterly Monitoring",IF(F9="Above Trigger Level","Quarterly Monitoring*","Annual Monitoring"))))</f>
        <v/>
      </c>
    </row>
    <row r="10" spans="1:7">
      <c r="A10" s="12" t="s">
        <v>37</v>
      </c>
      <c r="B10" s="71"/>
      <c r="C10" s="14"/>
      <c r="D10" s="65"/>
      <c r="E10" s="80" t="str">
        <f>IF(AND(B10="",C10=""),"",IF(D10="U","",IF(B10&gt;0,(B10/'Risk Management Levels'!B11),(C10/'Risk Management Levels'!C11))))</f>
        <v/>
      </c>
      <c r="F10" s="81" t="str">
        <f>IF(E10="","",IF(OR('Risk Management Levels'!F11&lt;=B10,'Risk Management Levels'!G11&lt;=C10),"Above Upper Action Level",IF(OR('Risk Management Levels'!D11&lt;=B10,'Risk Management Levels'!E11&lt;=C10),"Above Lower Action Level",IF(OR('Risk Management Levels'!B11&lt;=B10,'Risk Management Levels'!C11&lt;=C10),"Above Trigger Level","Below Trigger Level"))))</f>
        <v/>
      </c>
      <c r="G10" s="82" t="str">
        <f>IF(F10="","",IF(F10="Above Upper Action Level","Shut Off and Resolve Issue",IF(F10="Above Lower Action Level","Quarterly Monitoring",IF(F10="Above Trigger Level","Quarterly Monitoring*","Annual Monitoring"))))</f>
        <v/>
      </c>
    </row>
    <row r="11" spans="1:7">
      <c r="A11" s="12" t="s">
        <v>38</v>
      </c>
      <c r="B11" s="33"/>
      <c r="C11" s="14"/>
      <c r="D11" s="65"/>
      <c r="E11" s="80" t="str">
        <f>IF(AND(B11="",C11=""),"",IF(D11="U","",IF(B11&gt;0,(B11/'Risk Management Levels'!B12),(C11/'Risk Management Levels'!C12))))</f>
        <v/>
      </c>
      <c r="F11" s="81" t="str">
        <f>IF(E11="","",IF(OR('Risk Management Levels'!F12&lt;=B11,'Risk Management Levels'!G12&lt;=C11),"Above Upper Action Level",IF(OR('Risk Management Levels'!D12&lt;=B11,'Risk Management Levels'!E12&lt;=C11),"Above Lower Action Level",IF(OR('Risk Management Levels'!B12&lt;=B11,'Risk Management Levels'!C12&lt;=C11),"Above Trigger Level","Below Trigger Level"))))</f>
        <v/>
      </c>
      <c r="G11" s="82" t="str">
        <f t="shared" ref="G11:G15" si="0">IF(F11="","",IF(F11="Above Upper Action Level","Shut Off and Resolve Issue",IF(F11="Above Lower Action Level","Quarterly Monitoring",IF(F11="Above Trigger Level","Quarterly Monitoring*","Annual Monitoring"))))</f>
        <v/>
      </c>
    </row>
    <row r="12" spans="1:7">
      <c r="A12" s="12" t="s">
        <v>39</v>
      </c>
      <c r="B12" s="33"/>
      <c r="C12" s="14"/>
      <c r="D12" s="65"/>
      <c r="E12" s="80" t="str">
        <f>IF(AND(B12="",C12=""),"",IF(D12="U","",IF(B12&gt;0,(B12/'Risk Management Levels'!B13),(C12/'Risk Management Levels'!C13))))</f>
        <v/>
      </c>
      <c r="F12" s="81" t="str">
        <f>IF(E12="","",IF(OR('Risk Management Levels'!F13&lt;=B12,'Risk Management Levels'!G13&lt;=C12),"Above Upper Action Level",IF(OR('Risk Management Levels'!D13&lt;=B12,'Risk Management Levels'!E13&lt;=C12),"Above Lower Action Level",IF(OR('Risk Management Levels'!B13&lt;=B12,'Risk Management Levels'!C13&lt;=C12),"Above Trigger Level","Below Trigger Level"))))</f>
        <v/>
      </c>
      <c r="G12" s="82" t="str">
        <f t="shared" si="0"/>
        <v/>
      </c>
    </row>
    <row r="13" spans="1:7">
      <c r="A13" s="12" t="s">
        <v>40</v>
      </c>
      <c r="B13" s="33"/>
      <c r="C13" s="14"/>
      <c r="D13" s="65"/>
      <c r="E13" s="80" t="str">
        <f>IF(AND(B13="",C13=""),"",IF(D13="U","",IF(B13&gt;0,(B13/'Risk Management Levels'!B14),(C13/'Risk Management Levels'!C14))))</f>
        <v/>
      </c>
      <c r="F13" s="81" t="str">
        <f>IF(E13="","",IF(OR('Risk Management Levels'!F14&lt;=B13,'Risk Management Levels'!G14&lt;=C13),"Above Upper Action Level",IF(OR('Risk Management Levels'!D14&lt;=B13,'Risk Management Levels'!E14&lt;=C13),"Above Lower Action Level",IF(OR('Risk Management Levels'!B14&lt;=B13,'Risk Management Levels'!C14&lt;=C13),"Above Trigger Level","Below Trigger Level"))))</f>
        <v/>
      </c>
      <c r="G13" s="82" t="str">
        <f t="shared" si="0"/>
        <v/>
      </c>
    </row>
    <row r="14" spans="1:7">
      <c r="A14" s="12" t="s">
        <v>41</v>
      </c>
      <c r="B14" s="33"/>
      <c r="C14" s="14"/>
      <c r="D14" s="65"/>
      <c r="E14" s="80" t="str">
        <f>IF(AND(B14="",C14=""),"",IF(D14="U","",IF(B14&gt;0,(B14/'Risk Management Levels'!B15),(C14/'Risk Management Levels'!C15))))</f>
        <v/>
      </c>
      <c r="F14" s="81" t="str">
        <f>IF(E14="","",IF(OR('Risk Management Levels'!F15&lt;=B14,'Risk Management Levels'!G15&lt;=C14),"Above Upper Action Level",IF(OR('Risk Management Levels'!D15&lt;=B14,'Risk Management Levels'!E15&lt;=C14),"Above Lower Action Level",IF(OR('Risk Management Levels'!B15&lt;=B14,'Risk Management Levels'!C15&lt;=C14),"Above Trigger Level","Below Trigger Level"))))</f>
        <v/>
      </c>
      <c r="G14" s="82" t="str">
        <f t="shared" si="0"/>
        <v/>
      </c>
    </row>
    <row r="15" spans="1:7" ht="15" thickBot="1">
      <c r="A15" s="12" t="s">
        <v>42</v>
      </c>
      <c r="B15" s="34"/>
      <c r="C15" s="30"/>
      <c r="D15" s="66"/>
      <c r="E15" s="80" t="str">
        <f>IF(AND(B15="",C15=""),"",IF(D15="U","",IF(B15&gt;0,(B15/'Risk Management Levels'!B16),(C15/'Risk Management Levels'!C16))))</f>
        <v/>
      </c>
      <c r="F15" s="78" t="str">
        <f>IF(E15="","",IF(OR('Risk Management Levels'!F16&lt;=B15,'Risk Management Levels'!G16&lt;=C15),"Above Upper Action Level",IF(OR('Risk Management Levels'!D16&lt;=B15,'Risk Management Levels'!E16&lt;=C15),"Above Lower Action Level",IF(OR('Risk Management Levels'!B16&lt;=B15,'Risk Management Levels'!C16&lt;=C15),"Above Trigger Level","Below Trigger Level"))))</f>
        <v/>
      </c>
      <c r="G15" s="83" t="str">
        <f t="shared" si="0"/>
        <v/>
      </c>
    </row>
    <row r="16" spans="1:7" ht="15" thickBot="1">
      <c r="A16" s="97" t="s">
        <v>43</v>
      </c>
      <c r="B16" s="72"/>
      <c r="C16" s="72"/>
      <c r="D16" s="72"/>
      <c r="E16" s="84">
        <f>SUMIF(E9:E15,"&gt;=1",E9:E15)</f>
        <v>0</v>
      </c>
      <c r="F16" s="85" t="str" cm="1">
        <f t="array" ref="F16">IF(E16="","",IF(OR(F9:F15="Above Upper Action Level",E16&gt;=25),"Above Upper Action Level",IF(OR(F9:F15="Above Lower Action Level",E16&gt;=10),"Above Lower Action Level",IF(OR(F9:F15="Above Trigger Level",E16&gt;=1),"Above Trigger Level","Below Trigger Level"))))</f>
        <v>Below Trigger Level</v>
      </c>
      <c r="G16" s="86" t="str">
        <f>IF(F16="","",IF(F16="Above Upper Action Level","Shut Off and Resolve Issue",IF(F16="Above Lower Action Level","Quarterly Monitoring",IF(F16="Above Trigger Level","Quarterly Monitoring*","Annual Monitoring"))))</f>
        <v>Annual Monitoring</v>
      </c>
    </row>
    <row r="17" spans="1:7" ht="15" thickBot="1"/>
    <row r="18" spans="1:7" ht="15" thickBot="1">
      <c r="A18" s="120" t="s">
        <v>64</v>
      </c>
      <c r="B18" s="121"/>
      <c r="C18" s="121"/>
      <c r="D18" s="121"/>
      <c r="E18" s="121"/>
      <c r="F18" s="121"/>
      <c r="G18" s="122"/>
    </row>
    <row r="19" spans="1:7" ht="44" thickBot="1">
      <c r="A19" s="93" t="s">
        <v>29</v>
      </c>
      <c r="B19" s="94" t="s">
        <v>30</v>
      </c>
      <c r="C19" s="94" t="s">
        <v>31</v>
      </c>
      <c r="D19" s="94" t="s">
        <v>32</v>
      </c>
      <c r="E19" s="94" t="s">
        <v>44</v>
      </c>
      <c r="F19" s="95" t="s">
        <v>34</v>
      </c>
      <c r="G19" s="96" t="s">
        <v>35</v>
      </c>
    </row>
    <row r="20" spans="1:7">
      <c r="A20" s="12" t="s">
        <v>45</v>
      </c>
      <c r="B20" s="73"/>
      <c r="C20" s="15"/>
      <c r="D20" s="64"/>
      <c r="E20" s="87" t="str">
        <f>IF(AND(B20="",C20=""),"",IF(D20="U","",IF(B20&gt;0,(B20/'Risk Management Levels'!D18),(C20/'Risk Management Levels'!E18))))</f>
        <v/>
      </c>
      <c r="F20" s="88" t="str">
        <f>IF(E20="","",IF(OR('Risk Management Levels'!G18&lt;=C20),"Above Upper Action Level",IF(OR('Risk Management Levels'!E18&lt;=C20),"Above Lower Action Level",IF(OR('Risk Management Levels'!C18&lt;=C20),"Above Trigger Level","Below Trigger Level"))))</f>
        <v/>
      </c>
      <c r="G20" s="89" t="str">
        <f>IF(F20="","",IF(F20="Above Upper Action Level","Shut Off and Resolve Issue",IF(F20="Above Lower Action Level","Quarterly Monitoring",IF(F20="Above Trigger Level","Quarterly Monitoring*","Annual Monitoring"))))</f>
        <v/>
      </c>
    </row>
    <row r="21" spans="1:7">
      <c r="A21" s="12" t="s">
        <v>46</v>
      </c>
      <c r="B21" s="33"/>
      <c r="C21" s="14"/>
      <c r="D21" s="65"/>
      <c r="E21" s="90" t="str">
        <f>IF(AND(B21="",C21=""),"",IF(D21="U","",IF(B21&gt;0,(B21/'Risk Management Levels'!D19),(C21/'Risk Management Levels'!E19))))</f>
        <v/>
      </c>
      <c r="F21" s="88" t="str">
        <f>IF(E21="","",IF(OR('Risk Management Levels'!F19&lt;=B21,'Risk Management Levels'!G19&lt;=C21),"Above Upper Action Level",IF(OR('Risk Management Levels'!D19&lt;=B21,'Risk Management Levels'!E19&lt;=C21),"Above Lower Action Level",IF(OR('Risk Management Levels'!B19&lt;=B21,'Risk Management Levels'!C19&lt;=C21),"Above Trigger Level","Below Trigger Level"))))</f>
        <v/>
      </c>
      <c r="G21" s="89" t="str">
        <f>IF(F21="","",IF(F21="Above Upper Action Level","Shut Off and Resolve Issue",IF(F21="Above Lower Action Level","Quarterly Monitoring",IF(F21="Above Trigger Level","Quarterly Monitoring*","Annual Monitoring"))))</f>
        <v/>
      </c>
    </row>
    <row r="22" spans="1:7">
      <c r="A22" s="12" t="s">
        <v>47</v>
      </c>
      <c r="B22" s="33"/>
      <c r="C22" s="14"/>
      <c r="D22" s="65"/>
      <c r="E22" s="90" t="str">
        <f>IF(AND(B22="",C22=""),"",IF(D22="U","",IF(B22&gt;0,(B22/'Risk Management Levels'!D20),(C22/'Risk Management Levels'!E20))))</f>
        <v/>
      </c>
      <c r="F22" s="88" t="str">
        <f>IF(E22="","",IF(OR('Risk Management Levels'!F20&lt;=B22,'Risk Management Levels'!G20&lt;=C22),"Above Upper Action Level",IF(OR('Risk Management Levels'!D20&lt;=B22,'Risk Management Levels'!E20&lt;=C22),"Above Lower Action Level",IF(OR('Risk Management Levels'!B20&lt;=B22,'Risk Management Levels'!C20&lt;=C22),"Above Trigger Level","Below Trigger Level"))))</f>
        <v/>
      </c>
      <c r="G22" s="89" t="str">
        <f t="shared" ref="G22:G26" si="1">IF(F22="","",IF(F22="Above Upper Action Level","Shut Off and Resolve Issue",IF(F22="Above Lower Action Level","Quarterly Monitoring",IF(F22="Above Trigger Level","Quarterly Monitoring*","Annual Monitoring"))))</f>
        <v/>
      </c>
    </row>
    <row r="23" spans="1:7">
      <c r="A23" s="12" t="s">
        <v>48</v>
      </c>
      <c r="B23" s="33"/>
      <c r="C23" s="14"/>
      <c r="D23" s="65"/>
      <c r="E23" s="90" t="str">
        <f>IF(AND(B23="",C23=""),"",IF(D23="U","",IF(B23&gt;0,(B23/'Risk Management Levels'!D21),(C23/'Risk Management Levels'!E21))))</f>
        <v/>
      </c>
      <c r="F23" s="88" t="str">
        <f>IF(E23="","",IF(OR('Risk Management Levels'!F21&lt;=B23,'Risk Management Levels'!G21&lt;=C23),"Above Upper Action Level",IF(OR('Risk Management Levels'!D21&lt;=B23,'Risk Management Levels'!E21&lt;=C23),"Above Lower Action Level",IF(OR('Risk Management Levels'!B21&lt;=B23,'Risk Management Levels'!C21&lt;=C23),"Above Trigger Level","Below Trigger Level"))))</f>
        <v/>
      </c>
      <c r="G23" s="89" t="str">
        <f t="shared" si="1"/>
        <v/>
      </c>
    </row>
    <row r="24" spans="1:7">
      <c r="A24" s="12" t="s">
        <v>49</v>
      </c>
      <c r="B24" s="33"/>
      <c r="C24" s="14"/>
      <c r="D24" s="65"/>
      <c r="E24" s="90" t="str">
        <f>IF(AND(B24="",C24=""),"",IF(D24="U","",IF(B24&gt;0,(B24/'Risk Management Levels'!D22),(C24/'Risk Management Levels'!E22))))</f>
        <v/>
      </c>
      <c r="F24" s="88" t="str">
        <f>IF(E24="","",IF(OR('Risk Management Levels'!F22&lt;=B24,'Risk Management Levels'!G22&lt;=C24),"Above Upper Action Level",IF(OR('Risk Management Levels'!D22&lt;=B24,'Risk Management Levels'!E22&lt;=C24),"Above Lower Action Level",IF(OR('Risk Management Levels'!B22&lt;=B24,'Risk Management Levels'!C22&lt;=C24),"Above Trigger Level","Below Trigger Level"))))</f>
        <v/>
      </c>
      <c r="G24" s="89" t="str">
        <f t="shared" si="1"/>
        <v/>
      </c>
    </row>
    <row r="25" spans="1:7">
      <c r="A25" s="12" t="s">
        <v>50</v>
      </c>
      <c r="B25" s="33"/>
      <c r="C25" s="14"/>
      <c r="D25" s="65"/>
      <c r="E25" s="90" t="str">
        <f>IF(AND(B25="",C25=""),"",IF(D25="U","",IF(B25&gt;0,(B25/'Risk Management Levels'!D23),(C25/'Risk Management Levels'!E23))))</f>
        <v/>
      </c>
      <c r="F25" s="88" t="str">
        <f>IF(E25="","",IF(OR('Risk Management Levels'!F23&lt;=B25,'Risk Management Levels'!G23&lt;=C25),"Above Upper Action Level",IF(OR('Risk Management Levels'!D23&lt;=B25,'Risk Management Levels'!E23&lt;=C25),"Above Lower Action Level",IF(OR('Risk Management Levels'!B23&lt;=B25,'Risk Management Levels'!C23&lt;=C25),"Above Trigger Level","Below Trigger Level"))))</f>
        <v/>
      </c>
      <c r="G25" s="89" t="str">
        <f>IF(F25="","",IF(F25="Above Upper Action Level","Shut Off and Resolve Issue",IF(F25="Above Lower Action Level","Quarterly Monitoring",IF(F25="Above Trigger Level","Quarterly Monitoring*","Annual Monitoring"))))</f>
        <v/>
      </c>
    </row>
    <row r="26" spans="1:7">
      <c r="A26" s="12" t="s">
        <v>51</v>
      </c>
      <c r="B26" s="33"/>
      <c r="C26" s="14"/>
      <c r="D26" s="65"/>
      <c r="E26" s="90" t="str">
        <f>IF(AND(B26="",C26=""),"",IF(D26="U","",IF(B26&gt;0,(B26/'Risk Management Levels'!D24),(C26/'Risk Management Levels'!E24))))</f>
        <v/>
      </c>
      <c r="F26" s="88" t="str">
        <f>IF(E26="","",IF(OR('Risk Management Levels'!F24&lt;=B26,'Risk Management Levels'!G24&lt;=C26),"Above Upper Action Level",IF(OR('Risk Management Levels'!D24&lt;=B26,'Risk Management Levels'!E24&lt;=C26),"Above Lower Action Level",IF(OR('Risk Management Levels'!B24&lt;=B26,'Risk Management Levels'!C24&lt;=C26),"Above Trigger Level","Below Trigger Level"))))</f>
        <v/>
      </c>
      <c r="G26" s="89" t="str">
        <f t="shared" si="1"/>
        <v/>
      </c>
    </row>
    <row r="27" spans="1:7" ht="15" thickBot="1">
      <c r="A27" s="12" t="s">
        <v>52</v>
      </c>
      <c r="B27" s="34"/>
      <c r="C27" s="30"/>
      <c r="D27" s="66"/>
      <c r="E27" s="90" t="str">
        <f>IF(AND(B27="",C27=""),"",IF(D27="U","",IF(B27&gt;0,(B27/'Risk Management Levels'!D25),(C27/'Risk Management Levels'!E25))))</f>
        <v/>
      </c>
      <c r="F27" s="88" t="str">
        <f>IF(E27="","",IF(OR('Risk Management Levels'!F25&lt;=B27,'Risk Management Levels'!G25&lt;=C27),"Above Upper Action Level",IF(OR('Risk Management Levels'!D25&lt;=B27,'Risk Management Levels'!E25&lt;=C27),"Above Lower Action Level",IF(OR('Risk Management Levels'!B25&lt;=B27,'Risk Management Levels'!C25&lt;=C27),"Above Trigger Level","Below Trigger Level"))))</f>
        <v/>
      </c>
      <c r="G27" s="79" t="str">
        <f>IF(F27="","",IF(F27="Above Upper Action Level","Shut Off and Resolve Issue",IF(F27="Above Lower Action Level","Quarterly Monitoring",IF(F27="Above Trigger Level","Quarterly Monitoring*","Annual Monitoring"))))</f>
        <v/>
      </c>
    </row>
    <row r="28" spans="1:7" ht="15" thickBot="1">
      <c r="A28" s="97" t="s">
        <v>53</v>
      </c>
      <c r="B28" s="72"/>
      <c r="C28" s="72"/>
      <c r="D28" s="72"/>
      <c r="E28" s="91">
        <f>SUMIF(E20:E27,"&gt;0.099",E20:E27)</f>
        <v>0</v>
      </c>
      <c r="F28" s="86" t="str" cm="1">
        <f t="array" ref="F28">IF(E28="","",IF(OR(F20:F27="Above Upper Action Level",E28&gt;=5),"Above Upper Action Level",IF(OR(F20:F27="Above Lower Action Level",E28&gt;=1),"Above Lower Action Level",IF(OR(F20:F27="Above Trigger Level",E28&gt;=0.1),"Above Trigger Level","Below Trigger Level"))))</f>
        <v>Below Trigger Level</v>
      </c>
      <c r="G28" s="85" t="str">
        <f>IF(F28="","",IF(F28="Above Upper Action Level","Shut Off and Resolve Issue",IF(F28="Above Lower Action Level","Quarterly Monitoring",IF(F28="Above Trigger Level","Quarterly Monitoring*","Annual Monitoring"))))</f>
        <v>Annual Monitoring</v>
      </c>
    </row>
    <row r="31" spans="1:7">
      <c r="A31" t="s">
        <v>66</v>
      </c>
    </row>
    <row r="32" spans="1:7">
      <c r="A32" t="s">
        <v>67</v>
      </c>
    </row>
  </sheetData>
  <sheetProtection algorithmName="SHA-512" hashValue="+N9KHVO5JBAwADwtcZh7Bur1Ri0jllDfclezgfBn6uXniI6oU9Kl77V8KqB4fwk1z7Mu4NJEriTRb/03Z13ciQ==" saltValue="/fOat3rh08yEPQNV4wdi7w==" spinCount="100000" sheet="1" objects="1" scenarios="1"/>
  <mergeCells count="3">
    <mergeCell ref="A7:G7"/>
    <mergeCell ref="A18:G18"/>
    <mergeCell ref="A1:G1"/>
  </mergeCells>
  <conditionalFormatting sqref="B4">
    <cfRule type="containsText" dxfId="16" priority="19" operator="containsText" text="Yes">
      <formula>NOT(ISERROR(SEARCH("Yes",B4)))</formula>
    </cfRule>
    <cfRule type="containsText" dxfId="15" priority="20" operator="containsText" text="No">
      <formula>NOT(ISERROR(SEARCH("No",B4)))</formula>
    </cfRule>
  </conditionalFormatting>
  <conditionalFormatting sqref="F9:F16">
    <cfRule type="containsText" dxfId="14" priority="12" operator="containsText" text="Above">
      <formula>NOT(ISERROR(SEARCH("Above",F9)))</formula>
    </cfRule>
  </conditionalFormatting>
  <conditionalFormatting sqref="F20:F28">
    <cfRule type="containsText" dxfId="13" priority="11" operator="containsText" text="Above">
      <formula>NOT(ISERROR(SEARCH("Above",F20)))</formula>
    </cfRule>
  </conditionalFormatting>
  <conditionalFormatting sqref="F9:G15">
    <cfRule type="containsText" dxfId="12" priority="22" operator="containsText" text="Above Trigger Level">
      <formula>NOT(ISERROR(SEARCH("Above Trigger Level",F9)))</formula>
    </cfRule>
  </conditionalFormatting>
  <conditionalFormatting sqref="F20:G27">
    <cfRule type="containsText" dxfId="11" priority="21" operator="containsText" text="Above Trigger Level">
      <formula>NOT(ISERROR(SEARCH("Above Trigger Level",F20)))</formula>
    </cfRule>
  </conditionalFormatting>
  <conditionalFormatting sqref="G9:G15">
    <cfRule type="containsText" dxfId="10" priority="3" operator="containsText" text="Quarterly">
      <formula>NOT(ISERROR(SEARCH("Quarterly",G9)))</formula>
    </cfRule>
    <cfRule type="containsText" dxfId="9" priority="4" operator="containsText" text="Resolve">
      <formula>NOT(ISERROR(SEARCH("Resolve",G9)))</formula>
    </cfRule>
  </conditionalFormatting>
  <conditionalFormatting sqref="G16">
    <cfRule type="containsText" dxfId="8" priority="6" operator="containsText" text="Annual">
      <formula>NOT(ISERROR(SEARCH("Annual",G16)))</formula>
    </cfRule>
    <cfRule type="containsText" dxfId="7" priority="8" operator="containsText" text="Resolve">
      <formula>NOT(ISERROR(SEARCH("Resolve",G16)))</formula>
    </cfRule>
    <cfRule type="containsText" dxfId="6" priority="10" operator="containsText" text="Monitoring">
      <formula>NOT(ISERROR(SEARCH("Monitoring",G16)))</formula>
    </cfRule>
    <cfRule type="containsText" dxfId="5" priority="18" operator="containsText" text="Above Trigger Level">
      <formula>NOT(ISERROR(SEARCH("Above Trigger Level",G16)))</formula>
    </cfRule>
  </conditionalFormatting>
  <conditionalFormatting sqref="G20:G27">
    <cfRule type="containsText" dxfId="4" priority="1" operator="containsText" text="Shut">
      <formula>NOT(ISERROR(SEARCH("Shut",G20)))</formula>
    </cfRule>
    <cfRule type="containsText" dxfId="3" priority="2" operator="containsText" text="Quarterly">
      <formula>NOT(ISERROR(SEARCH("Quarterly",G20)))</formula>
    </cfRule>
  </conditionalFormatting>
  <conditionalFormatting sqref="G28">
    <cfRule type="containsText" dxfId="2" priority="5" operator="containsText" text="Annual">
      <formula>NOT(ISERROR(SEARCH("Annual",G28)))</formula>
    </cfRule>
    <cfRule type="containsText" dxfId="1" priority="7" operator="containsText" text="Resolve">
      <formula>NOT(ISERROR(SEARCH("Resolve",G28)))</formula>
    </cfRule>
    <cfRule type="containsText" dxfId="0" priority="9" operator="containsText" text="Monitoring">
      <formula>NOT(ISERROR(SEARCH("Monitoring",G28)))</formula>
    </cfRule>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5"/>
  <sheetViews>
    <sheetView zoomScaleNormal="100" workbookViewId="0">
      <selection activeCell="B12" sqref="B12"/>
    </sheetView>
  </sheetViews>
  <sheetFormatPr defaultRowHeight="14.5"/>
  <cols>
    <col min="1" max="1" width="34.26953125" customWidth="1"/>
    <col min="2" max="3" width="9.54296875" bestFit="1" customWidth="1"/>
    <col min="4" max="4" width="11.54296875" bestFit="1" customWidth="1"/>
    <col min="5" max="5" width="9.54296875" bestFit="1" customWidth="1"/>
    <col min="6" max="6" width="11.54296875" bestFit="1" customWidth="1"/>
    <col min="7" max="7" width="10.54296875" bestFit="1" customWidth="1"/>
  </cols>
  <sheetData>
    <row r="1" spans="1:7" ht="23.5">
      <c r="A1" s="1" t="s">
        <v>26</v>
      </c>
    </row>
    <row r="2" spans="1:7">
      <c r="A2" t="s">
        <v>1</v>
      </c>
    </row>
    <row r="3" spans="1:7" ht="15" thickBot="1"/>
    <row r="4" spans="1:7">
      <c r="A4" s="4"/>
      <c r="B4" s="124" t="s">
        <v>54</v>
      </c>
      <c r="C4" s="125"/>
      <c r="D4" s="125"/>
      <c r="E4" s="125"/>
      <c r="F4" s="125"/>
      <c r="G4" s="126"/>
    </row>
    <row r="5" spans="1:7" ht="15" thickBot="1">
      <c r="A5" s="5" t="s">
        <v>29</v>
      </c>
      <c r="B5" s="127" t="s">
        <v>55</v>
      </c>
      <c r="C5" s="128"/>
      <c r="D5" s="128"/>
      <c r="E5" s="128"/>
      <c r="F5" s="128"/>
      <c r="G5" s="129"/>
    </row>
    <row r="6" spans="1:7">
      <c r="A6" s="5"/>
      <c r="B6" s="124" t="s">
        <v>56</v>
      </c>
      <c r="C6" s="126"/>
      <c r="D6" s="124" t="s">
        <v>57</v>
      </c>
      <c r="E6" s="126"/>
      <c r="F6" s="124" t="s">
        <v>58</v>
      </c>
      <c r="G6" s="126"/>
    </row>
    <row r="7" spans="1:7" ht="15" thickBot="1">
      <c r="A7" s="6"/>
      <c r="B7" s="127"/>
      <c r="C7" s="129"/>
      <c r="D7" s="127"/>
      <c r="E7" s="129"/>
      <c r="F7" s="127"/>
      <c r="G7" s="129"/>
    </row>
    <row r="8" spans="1:7" ht="15" thickBot="1">
      <c r="A8" s="7"/>
      <c r="B8" s="8" t="s">
        <v>59</v>
      </c>
      <c r="C8" s="9" t="s">
        <v>60</v>
      </c>
      <c r="D8" s="8" t="s">
        <v>59</v>
      </c>
      <c r="E8" s="9" t="s">
        <v>60</v>
      </c>
      <c r="F8" s="8" t="s">
        <v>59</v>
      </c>
      <c r="G8" s="9" t="s">
        <v>60</v>
      </c>
    </row>
    <row r="9" spans="1:7" ht="15" thickBot="1">
      <c r="A9" s="10"/>
      <c r="B9" s="61"/>
      <c r="C9" s="60" t="s">
        <v>61</v>
      </c>
      <c r="D9" s="10"/>
      <c r="E9" s="61"/>
      <c r="F9" s="61"/>
      <c r="G9" s="62"/>
    </row>
    <row r="10" spans="1:7">
      <c r="A10" s="12" t="s">
        <v>36</v>
      </c>
      <c r="B10" s="17">
        <v>4.3</v>
      </c>
      <c r="C10" s="35">
        <v>0.7</v>
      </c>
      <c r="D10" s="18">
        <v>42</v>
      </c>
      <c r="E10" s="37">
        <v>7</v>
      </c>
      <c r="F10" s="18">
        <v>100</v>
      </c>
      <c r="G10" s="51">
        <v>17</v>
      </c>
    </row>
    <row r="11" spans="1:7">
      <c r="A11" s="12" t="s">
        <v>37</v>
      </c>
      <c r="B11" s="25">
        <v>2E-3</v>
      </c>
      <c r="C11" s="36">
        <v>6.5269999999999998E-4</v>
      </c>
      <c r="D11" s="25">
        <v>4.0000000000000001E-3</v>
      </c>
      <c r="E11" s="36">
        <v>1.3054E-3</v>
      </c>
      <c r="F11" s="26">
        <v>1.0000000000000002E-2</v>
      </c>
      <c r="G11" s="52">
        <v>3.2634999999999999E-3</v>
      </c>
    </row>
    <row r="12" spans="1:7">
      <c r="A12" s="12" t="s">
        <v>62</v>
      </c>
      <c r="B12" s="25">
        <v>2E-3</v>
      </c>
      <c r="C12" s="36">
        <v>4.35E-4</v>
      </c>
      <c r="D12" s="25">
        <v>3.2258064516129002E-3</v>
      </c>
      <c r="E12" s="36">
        <v>6.96E-4</v>
      </c>
      <c r="F12" s="25">
        <v>8.0000000000000002E-3</v>
      </c>
      <c r="G12" s="52">
        <v>1.6999999999999999E-3</v>
      </c>
    </row>
    <row r="13" spans="1:7">
      <c r="A13" s="12" t="s">
        <v>39</v>
      </c>
      <c r="B13" s="25">
        <v>2E-3</v>
      </c>
      <c r="C13" s="36">
        <v>9.5882352941176468E-4</v>
      </c>
      <c r="D13" s="25">
        <v>4.7999999999999996E-3</v>
      </c>
      <c r="E13" s="36">
        <v>2.3011764705882349E-3</v>
      </c>
      <c r="F13" s="26">
        <v>1.2E-2</v>
      </c>
      <c r="G13" s="52">
        <v>5.5999999999999999E-3</v>
      </c>
    </row>
    <row r="14" spans="1:7">
      <c r="A14" s="12" t="s">
        <v>40</v>
      </c>
      <c r="B14" s="18">
        <v>20</v>
      </c>
      <c r="C14" s="37">
        <v>4.3759419743782964</v>
      </c>
      <c r="D14" s="18">
        <v>190</v>
      </c>
      <c r="E14" s="46">
        <v>44</v>
      </c>
      <c r="F14" s="18">
        <v>490</v>
      </c>
      <c r="G14" s="51">
        <v>110</v>
      </c>
    </row>
    <row r="15" spans="1:7">
      <c r="A15" s="12" t="s">
        <v>41</v>
      </c>
      <c r="B15" s="21">
        <v>2.8000000000000001E-2</v>
      </c>
      <c r="C15" s="38">
        <v>5.2599999999999999E-3</v>
      </c>
      <c r="D15" s="22">
        <v>0.24</v>
      </c>
      <c r="E15" s="48">
        <v>4.4999999999999998E-2</v>
      </c>
      <c r="F15" s="22">
        <v>0.61</v>
      </c>
      <c r="G15" s="54">
        <v>0.11</v>
      </c>
    </row>
    <row r="16" spans="1:7" ht="15" thickBot="1">
      <c r="A16" s="13" t="s">
        <v>42</v>
      </c>
      <c r="B16" s="20">
        <v>0.63</v>
      </c>
      <c r="C16" s="39">
        <v>0.25</v>
      </c>
      <c r="D16" s="23">
        <v>6.3</v>
      </c>
      <c r="E16" s="49">
        <v>2.5</v>
      </c>
      <c r="F16" s="24">
        <v>15</v>
      </c>
      <c r="G16" s="55">
        <v>5.9</v>
      </c>
    </row>
    <row r="17" spans="1:7" ht="15" thickBot="1">
      <c r="B17" s="61"/>
      <c r="C17" s="60" t="s">
        <v>63</v>
      </c>
      <c r="D17" s="10"/>
      <c r="E17" s="61"/>
      <c r="F17" s="61"/>
      <c r="G17" s="62"/>
    </row>
    <row r="18" spans="1:7">
      <c r="A18" s="11" t="s">
        <v>45</v>
      </c>
      <c r="B18" s="16"/>
      <c r="C18" s="40">
        <v>17</v>
      </c>
      <c r="D18" s="16"/>
      <c r="E18" s="40">
        <v>170</v>
      </c>
      <c r="F18" s="16"/>
      <c r="G18" s="56">
        <v>860</v>
      </c>
    </row>
    <row r="19" spans="1:7">
      <c r="A19" s="12" t="s">
        <v>46</v>
      </c>
      <c r="B19" s="21">
        <v>6.2E-2</v>
      </c>
      <c r="C19" s="41">
        <v>1.2330000000000001E-2</v>
      </c>
      <c r="D19" s="19">
        <v>0.62</v>
      </c>
      <c r="E19" s="35">
        <v>0.12330000000000001</v>
      </c>
      <c r="F19" s="17">
        <v>3.1</v>
      </c>
      <c r="G19" s="54">
        <v>0.62</v>
      </c>
    </row>
    <row r="20" spans="1:7">
      <c r="A20" s="12" t="s">
        <v>47</v>
      </c>
      <c r="B20" s="27">
        <v>4.9000000000000004</v>
      </c>
      <c r="C20" s="42">
        <v>3.5</v>
      </c>
      <c r="D20" s="29">
        <v>50</v>
      </c>
      <c r="E20" s="50">
        <v>35</v>
      </c>
      <c r="F20" s="29">
        <v>250</v>
      </c>
      <c r="G20" s="57">
        <v>170</v>
      </c>
    </row>
    <row r="21" spans="1:7">
      <c r="A21" s="12" t="s">
        <v>48</v>
      </c>
      <c r="B21" s="27">
        <v>7.4</v>
      </c>
      <c r="C21" s="43">
        <v>10</v>
      </c>
      <c r="D21" s="29">
        <v>75</v>
      </c>
      <c r="E21" s="43">
        <v>97</v>
      </c>
      <c r="F21" s="32">
        <v>370</v>
      </c>
      <c r="G21" s="57">
        <v>480</v>
      </c>
    </row>
    <row r="22" spans="1:7">
      <c r="A22" s="12" t="s">
        <v>49</v>
      </c>
      <c r="B22" s="29">
        <v>63</v>
      </c>
      <c r="C22" s="43">
        <v>45</v>
      </c>
      <c r="D22" s="18">
        <v>860</v>
      </c>
      <c r="E22" s="48">
        <v>620</v>
      </c>
      <c r="F22" s="18">
        <v>4300</v>
      </c>
      <c r="G22" s="58">
        <v>3100</v>
      </c>
    </row>
    <row r="23" spans="1:7">
      <c r="A23" s="12" t="s">
        <v>50</v>
      </c>
      <c r="B23" s="26">
        <v>4.7E-2</v>
      </c>
      <c r="C23" s="36">
        <v>5.4999999999999997E-3</v>
      </c>
      <c r="D23" s="31">
        <v>0.47</v>
      </c>
      <c r="E23" s="47">
        <v>5.5300000000000002E-2</v>
      </c>
      <c r="F23" s="27">
        <v>2.2999999999999998</v>
      </c>
      <c r="G23" s="53">
        <v>0.27</v>
      </c>
    </row>
    <row r="24" spans="1:7">
      <c r="A24" s="12" t="s">
        <v>51</v>
      </c>
      <c r="B24" s="27">
        <v>0.49</v>
      </c>
      <c r="C24" s="44">
        <v>0.88</v>
      </c>
      <c r="D24" s="27">
        <v>5</v>
      </c>
      <c r="E24" s="42">
        <v>4.4000000000000004</v>
      </c>
      <c r="F24" s="29">
        <v>25</v>
      </c>
      <c r="G24" s="57">
        <v>22</v>
      </c>
    </row>
    <row r="25" spans="1:7" ht="15" thickBot="1">
      <c r="A25" s="13" t="s">
        <v>52</v>
      </c>
      <c r="B25" s="28">
        <v>13</v>
      </c>
      <c r="C25" s="45">
        <v>19</v>
      </c>
      <c r="D25" s="28">
        <v>130</v>
      </c>
      <c r="E25" s="45">
        <v>99</v>
      </c>
      <c r="F25" s="28">
        <v>640</v>
      </c>
      <c r="G25" s="59">
        <v>490</v>
      </c>
    </row>
  </sheetData>
  <sheetProtection algorithmName="SHA-512" hashValue="SSe3XceLSzujLa1f+YVSGkMnC2DOfUaoMZ3eNEWYx2pcutyXSFiQJSLs3MQ73k8syjkJJaGRioXZjFM8GAQU1g==" saltValue="2bNrDMcWZnzjs9RgjHz+UA==" spinCount="100000" sheet="1" objects="1" scenarios="1"/>
  <mergeCells count="5">
    <mergeCell ref="B4:G4"/>
    <mergeCell ref="B5:G5"/>
    <mergeCell ref="B6:C7"/>
    <mergeCell ref="D6:E7"/>
    <mergeCell ref="F6:G7"/>
  </mergeCells>
  <pageMargins left="0.7" right="0.7" top="0.75" bottom="0.7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5adc9c7-d3a3-4bdb-aedf-b0d93535e83e">
      <Terms xmlns="http://schemas.microsoft.com/office/infopath/2007/PartnerControls"/>
    </lcf76f155ced4ddcb4097134ff3c332f>
    <TaxCatchAll xmlns="e8efcf75-8229-47ad-99fe-1ecb25723a4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677020FAC6C1249B78C7523C0DD28AA" ma:contentTypeVersion="15" ma:contentTypeDescription="Create a new document." ma:contentTypeScope="" ma:versionID="2ef79fabd440571895b94409fe5aebfd">
  <xsd:schema xmlns:xsd="http://www.w3.org/2001/XMLSchema" xmlns:xs="http://www.w3.org/2001/XMLSchema" xmlns:p="http://schemas.microsoft.com/office/2006/metadata/properties" xmlns:ns2="35adc9c7-d3a3-4bdb-aedf-b0d93535e83e" xmlns:ns3="e8efcf75-8229-47ad-99fe-1ecb25723a43" targetNamespace="http://schemas.microsoft.com/office/2006/metadata/properties" ma:root="true" ma:fieldsID="fc3276d23e98e6c3c3cf59305656450d" ns2:_="" ns3:_="">
    <xsd:import namespace="35adc9c7-d3a3-4bdb-aedf-b0d93535e83e"/>
    <xsd:import namespace="e8efcf75-8229-47ad-99fe-1ecb25723a43"/>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5adc9c7-d3a3-4bdb-aedf-b0d93535e8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05073050-3fd1-4e92-a2b5-a3b9c7057e57"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8efcf75-8229-47ad-99fe-1ecb25723a43"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863e036d-25b5-4e08-b2a9-56f9a5569dfa}" ma:internalName="TaxCatchAll" ma:showField="CatchAllData" ma:web="e8efcf75-8229-47ad-99fe-1ecb25723a43">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E31980E-3AF5-4EC4-81AC-2E3580064424}">
  <ds:schemaRefs>
    <ds:schemaRef ds:uri="http://purl.org/dc/terms/"/>
    <ds:schemaRef ds:uri="http://www.w3.org/XML/1998/namespace"/>
    <ds:schemaRef ds:uri="http://schemas.microsoft.com/office/2006/documentManagement/types"/>
    <ds:schemaRef ds:uri="http://purl.org/dc/elements/1.1/"/>
    <ds:schemaRef ds:uri="http://schemas.openxmlformats.org/package/2006/metadata/core-properties"/>
    <ds:schemaRef ds:uri="http://schemas.microsoft.com/office/2006/metadata/properties"/>
    <ds:schemaRef ds:uri="http://purl.org/dc/dcmitype/"/>
    <ds:schemaRef ds:uri="http://schemas.microsoft.com/office/infopath/2007/PartnerControls"/>
    <ds:schemaRef ds:uri="e8efcf75-8229-47ad-99fe-1ecb25723a43"/>
    <ds:schemaRef ds:uri="35adc9c7-d3a3-4bdb-aedf-b0d93535e83e"/>
  </ds:schemaRefs>
</ds:datastoreItem>
</file>

<file path=customXml/itemProps2.xml><?xml version="1.0" encoding="utf-8"?>
<ds:datastoreItem xmlns:ds="http://schemas.openxmlformats.org/officeDocument/2006/customXml" ds:itemID="{E3A97AEF-19DF-41AF-8172-5FBD93F853BC}">
  <ds:schemaRefs>
    <ds:schemaRef ds:uri="http://schemas.microsoft.com/sharepoint/v3/contenttype/forms"/>
  </ds:schemaRefs>
</ds:datastoreItem>
</file>

<file path=customXml/itemProps3.xml><?xml version="1.0" encoding="utf-8"?>
<ds:datastoreItem xmlns:ds="http://schemas.openxmlformats.org/officeDocument/2006/customXml" ds:itemID="{393EDD6C-9175-4006-B19E-49907848E87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5adc9c7-d3a3-4bdb-aedf-b0d93535e83e"/>
    <ds:schemaRef ds:uri="e8efcf75-8229-47ad-99fe-1ecb25723a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9de5aaee-7788-40b1-a438-c0ccc98c87cc}" enabled="0" method="" siteId="{9de5aaee-7788-40b1-a438-c0ccc98c87c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Please Read</vt:lpstr>
      <vt:lpstr>Calculator</vt:lpstr>
      <vt:lpstr>Risk Management Levels</vt:lpstr>
    </vt:vector>
  </TitlesOfParts>
  <Manager/>
  <Company>CARB</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Leyva, Luis@ARB</dc:creator>
  <cp:keywords/>
  <dc:description/>
  <cp:lastModifiedBy>Scanlan, Leona@OEHHA</cp:lastModifiedBy>
  <cp:revision/>
  <dcterms:created xsi:type="dcterms:W3CDTF">2020-02-10T17:35:50Z</dcterms:created>
  <dcterms:modified xsi:type="dcterms:W3CDTF">2025-07-11T22:30:20Z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0x010100F677020FAC6C1249B78C7523C0DD28AA</vt:lpwstr>
  </property>
  <property fmtid="{D5CDD505-2E9C-101B-9397-08002B2CF9AE}" pid="3" name="Order">
    <vt:r8>5612000</vt:r8>
  </property>
  <property fmtid="{D5CDD505-2E9C-101B-9397-08002B2CF9AE}" pid="4" name="MediaServiceImageTags">
    <vt:lpwstr/>
  </property>
</Properties>
</file>